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firstSheet="1" activeTab="1"/>
  </bookViews>
  <sheets>
    <sheet name="CONCEDIU" sheetId="1" r:id="rId1"/>
    <sheet name="Contract -plati 202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<sst xmlns="http://schemas.openxmlformats.org/spreadsheetml/2006/main" count="71" uniqueCount="53">
  <si>
    <t>LUNA</t>
  </si>
  <si>
    <t>TOTAL</t>
  </si>
  <si>
    <t>buget</t>
  </si>
  <si>
    <t>necontractat</t>
  </si>
  <si>
    <t>CROITORU VICTORIA - specialist urban</t>
  </si>
  <si>
    <t>FILIP MARIA - primar urban</t>
  </si>
  <si>
    <t>CIUDIN SILVIU-MIHAI - dentist rural</t>
  </si>
  <si>
    <t>NEGOITA VIORICA - dentist rural</t>
  </si>
  <si>
    <t>POPOVSCHI ARISTIDE - primar urban</t>
  </si>
  <si>
    <t>RASPOP KETTY SILVIA - dentist rural</t>
  </si>
  <si>
    <t>CONTRACT</t>
  </si>
  <si>
    <t>SPLENDENT - Dr.Petcu Georgiana - dentist rural</t>
  </si>
  <si>
    <t>S.C.INTERDENTAL - Dr.Ion Irina Madalina Dr.Tudor Mihai Adrian - dentist urban</t>
  </si>
  <si>
    <t>CARASTOIAN MARIANA THALIDA - dentist rural</t>
  </si>
  <si>
    <t>MARINESCU LIDIA - dentist rural</t>
  </si>
  <si>
    <t>aprilie</t>
  </si>
  <si>
    <t>mai</t>
  </si>
  <si>
    <t>DENUMIRE FURNIZOR</t>
  </si>
  <si>
    <t>august</t>
  </si>
  <si>
    <t>CMI Gabriel RUSU- dentist rural</t>
  </si>
  <si>
    <t>noiembrie</t>
  </si>
  <si>
    <t>SITUAȚIE STOMATOLOGI SUME CONTRACTATE ȘI PLĂTITE PENTRU AN 2023</t>
  </si>
  <si>
    <t>ianuarie</t>
  </si>
  <si>
    <t>februarie</t>
  </si>
  <si>
    <t>martie</t>
  </si>
  <si>
    <t>iunie</t>
  </si>
  <si>
    <t>iulie</t>
  </si>
  <si>
    <t>septembrie</t>
  </si>
  <si>
    <t>octombrie</t>
  </si>
  <si>
    <t>decembrie</t>
  </si>
  <si>
    <t>TRIM.I 2023</t>
  </si>
  <si>
    <t>TRIM.II 2023</t>
  </si>
  <si>
    <t>TRIM.III 2023</t>
  </si>
  <si>
    <t>TOTAL TRIM IV 2023</t>
  </si>
  <si>
    <t>TOTAL AN  2023</t>
  </si>
  <si>
    <t>BUGET 2023</t>
  </si>
  <si>
    <t>rest ianuarie</t>
  </si>
  <si>
    <t>total ianuarie</t>
  </si>
  <si>
    <t>CMI DR Mihai Daniela Aurora- dentist urban</t>
  </si>
  <si>
    <t xml:space="preserve"> total mai</t>
  </si>
  <si>
    <t>rest mai</t>
  </si>
  <si>
    <t>CMI STOMATOLOGIE DOBRE CATALIN- dentist rural</t>
  </si>
  <si>
    <t>CMI DR. VASILE CRISTIAN- dentist rural</t>
  </si>
  <si>
    <t>CABINET STOMATOLOGIC DR DOBRESCU DORIAN - dentist rural</t>
  </si>
  <si>
    <t>ALECU MONALISA SRL - dentist rural</t>
  </si>
  <si>
    <t>RDC PROSMILE DENT SRL - dentist urban</t>
  </si>
  <si>
    <t xml:space="preserve">IULIE </t>
  </si>
  <si>
    <t>AUGUST</t>
  </si>
  <si>
    <t xml:space="preserve">SEPTEMBRIE </t>
  </si>
  <si>
    <t xml:space="preserve">OCTOMBRIE </t>
  </si>
  <si>
    <t>NOIEMBRIE</t>
  </si>
  <si>
    <t>DECEMBRIE</t>
  </si>
  <si>
    <r>
      <t xml:space="preserve">PRO SMILE SRL - </t>
    </r>
    <r>
      <rPr>
        <b/>
        <sz val="9"/>
        <rFont val="Arial"/>
        <family val="2"/>
      </rPr>
      <t>PETRACHE RALUCA - SPECIALIST RURAL,NETSOVA STANISLAVA -MEDIC RURAL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</si>
</sst>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[$-418]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8]d\ mmmm\ yyyy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0.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 wrapText="1"/>
    </xf>
    <xf numFmtId="17" fontId="2" fillId="0" borderId="0" xfId="0" applyNumberFormat="1" applyFont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4" fontId="2" fillId="0" borderId="0" xfId="0" applyNumberFormat="1" applyFont="1" applyBorder="1" applyAlignment="1">
      <alignment horizontal="center" wrapText="1"/>
    </xf>
    <xf numFmtId="17" fontId="2" fillId="0" borderId="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center" wrapText="1"/>
    </xf>
    <xf numFmtId="17" fontId="2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17" fontId="0" fillId="0" borderId="10" xfId="0" applyNumberForma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17" fontId="0" fillId="34" borderId="11" xfId="0" applyNumberForma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7" fontId="0" fillId="0" borderId="10" xfId="0" applyNumberFormat="1" applyFont="1" applyBorder="1" applyAlignment="1">
      <alignment horizontal="right" vertical="center"/>
    </xf>
    <xf numFmtId="17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" fontId="46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48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4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8.421875" style="0" customWidth="1"/>
    <col min="2" max="2" width="21.28125" style="0" customWidth="1"/>
    <col min="3" max="3" width="10.140625" style="0" bestFit="1" customWidth="1"/>
  </cols>
  <sheetData>
    <row r="4" spans="2:3" ht="12.75">
      <c r="B4" s="19"/>
      <c r="C4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"/>
  <sheetViews>
    <sheetView tabSelected="1" zoomScale="96" zoomScaleNormal="96" zoomScalePageLayoutView="0" workbookViewId="0" topLeftCell="A10">
      <selection activeCell="G58" sqref="G58"/>
    </sheetView>
  </sheetViews>
  <sheetFormatPr defaultColWidth="9.140625" defaultRowHeight="12.75"/>
  <cols>
    <col min="1" max="1" width="10.8515625" style="0" customWidth="1"/>
    <col min="2" max="2" width="15.00390625" style="0" customWidth="1"/>
    <col min="3" max="4" width="11.8515625" style="0" customWidth="1"/>
    <col min="5" max="5" width="12.28125" style="0" customWidth="1"/>
    <col min="6" max="6" width="12.00390625" style="0" customWidth="1"/>
    <col min="7" max="8" width="11.7109375" style="0" customWidth="1"/>
    <col min="9" max="9" width="12.421875" style="0" customWidth="1"/>
    <col min="10" max="10" width="12.28125" style="0" customWidth="1"/>
    <col min="11" max="11" width="12.00390625" style="0" customWidth="1"/>
    <col min="12" max="12" width="12.28125" style="0" customWidth="1"/>
    <col min="13" max="13" width="12.57421875" style="0" customWidth="1"/>
    <col min="14" max="14" width="12.140625" style="0" customWidth="1"/>
    <col min="15" max="15" width="11.7109375" style="0" customWidth="1"/>
    <col min="16" max="16" width="11.8515625" style="0" customWidth="1"/>
    <col min="17" max="17" width="12.57421875" style="0" customWidth="1"/>
    <col min="18" max="19" width="12.140625" style="0" customWidth="1"/>
    <col min="20" max="20" width="12.7109375" style="0" customWidth="1"/>
  </cols>
  <sheetData>
    <row r="2" ht="12.75">
      <c r="A2" s="15" t="s">
        <v>21</v>
      </c>
    </row>
    <row r="3" ht="12.75">
      <c r="A3" s="15"/>
    </row>
    <row r="4" spans="2:19" ht="12.7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K4">
        <v>10</v>
      </c>
      <c r="M4">
        <v>12</v>
      </c>
      <c r="S4">
        <v>19</v>
      </c>
    </row>
    <row r="5" spans="1:20" ht="12.75">
      <c r="A5" s="48" t="s">
        <v>0</v>
      </c>
      <c r="B5" s="46" t="s">
        <v>17</v>
      </c>
      <c r="C5" s="46"/>
      <c r="D5" s="46"/>
      <c r="E5" s="46"/>
      <c r="F5" s="46"/>
      <c r="G5" s="46"/>
      <c r="H5" s="46"/>
      <c r="I5" s="46"/>
      <c r="J5" s="46"/>
      <c r="K5" s="47"/>
      <c r="L5" s="47"/>
      <c r="M5" s="47"/>
      <c r="N5" s="40"/>
      <c r="O5" s="40"/>
      <c r="P5" s="40"/>
      <c r="Q5" s="40"/>
      <c r="R5" s="40"/>
      <c r="S5" s="40"/>
      <c r="T5" s="45" t="s">
        <v>1</v>
      </c>
    </row>
    <row r="6" spans="1:20" ht="77.25" customHeight="1">
      <c r="A6" s="49"/>
      <c r="B6" s="50" t="s">
        <v>4</v>
      </c>
      <c r="C6" s="50" t="s">
        <v>8</v>
      </c>
      <c r="D6" s="50" t="s">
        <v>5</v>
      </c>
      <c r="E6" s="50" t="s">
        <v>6</v>
      </c>
      <c r="F6" s="50" t="s">
        <v>13</v>
      </c>
      <c r="G6" s="50" t="s">
        <v>7</v>
      </c>
      <c r="H6" s="50" t="s">
        <v>14</v>
      </c>
      <c r="I6" s="50" t="s">
        <v>9</v>
      </c>
      <c r="J6" s="51" t="s">
        <v>19</v>
      </c>
      <c r="K6" s="51" t="s">
        <v>11</v>
      </c>
      <c r="L6" s="51" t="s">
        <v>38</v>
      </c>
      <c r="M6" s="51" t="s">
        <v>12</v>
      </c>
      <c r="N6" s="51" t="s">
        <v>41</v>
      </c>
      <c r="O6" s="51" t="s">
        <v>42</v>
      </c>
      <c r="P6" s="51" t="s">
        <v>43</v>
      </c>
      <c r="Q6" s="51" t="s">
        <v>44</v>
      </c>
      <c r="R6" s="51" t="s">
        <v>45</v>
      </c>
      <c r="S6" s="51" t="s">
        <v>52</v>
      </c>
      <c r="T6" s="51" t="s">
        <v>1</v>
      </c>
    </row>
    <row r="7" spans="1:20" ht="12.75">
      <c r="A7" s="3"/>
      <c r="B7" s="2" t="s">
        <v>10</v>
      </c>
      <c r="C7" s="2" t="s">
        <v>10</v>
      </c>
      <c r="D7" s="2" t="s">
        <v>10</v>
      </c>
      <c r="E7" s="2" t="s">
        <v>10</v>
      </c>
      <c r="F7" s="2" t="s">
        <v>10</v>
      </c>
      <c r="G7" s="2" t="s">
        <v>10</v>
      </c>
      <c r="H7" s="2" t="s">
        <v>10</v>
      </c>
      <c r="I7" s="2" t="s">
        <v>10</v>
      </c>
      <c r="J7" s="2" t="s">
        <v>10</v>
      </c>
      <c r="K7" s="2" t="s">
        <v>10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  <c r="Q7" s="2" t="s">
        <v>10</v>
      </c>
      <c r="R7" s="2" t="s">
        <v>10</v>
      </c>
      <c r="S7" s="2"/>
      <c r="T7" s="2" t="s">
        <v>10</v>
      </c>
    </row>
    <row r="8" spans="1:20" ht="12.75">
      <c r="A8" s="28">
        <v>44896</v>
      </c>
      <c r="B8" s="11">
        <f>1492.54+1712.34+684.9</f>
        <v>3889.78</v>
      </c>
      <c r="C8" s="29">
        <f>1791.05+2054.8+821.92+174.25</f>
        <v>4842.02</v>
      </c>
      <c r="D8" s="29">
        <f>1791.05+2054.8+821.92</f>
        <v>4667.77</v>
      </c>
      <c r="E8" s="29">
        <f>1791.04+2054.79+821.92</f>
        <v>4667.75</v>
      </c>
      <c r="F8" s="29">
        <f>1791.04+2054.79+821.92+174.24</f>
        <v>4841.99</v>
      </c>
      <c r="G8" s="29">
        <f>1791.04+2054.79+821.92-463.27+174.24</f>
        <v>4378.719999999999</v>
      </c>
      <c r="H8" s="29">
        <f>1791.04+2054.79+821.92+174.24</f>
        <v>4841.99</v>
      </c>
      <c r="I8" s="29">
        <f>1791.04+2054.79+821.92+174.24</f>
        <v>4841.99</v>
      </c>
      <c r="J8" s="11">
        <f>2054.79+821.92-20.78+174.24</f>
        <v>3030.17</v>
      </c>
      <c r="K8" s="29">
        <f>1791.04+2054.79+821.92</f>
        <v>4667.75</v>
      </c>
      <c r="L8" s="11"/>
      <c r="M8" s="11">
        <f>2388.08+2739.74+1095.9</f>
        <v>6223.719999999999</v>
      </c>
      <c r="N8" s="11"/>
      <c r="O8" s="11"/>
      <c r="P8" s="11"/>
      <c r="Q8" s="11"/>
      <c r="R8" s="11"/>
      <c r="S8" s="11"/>
      <c r="T8" s="2">
        <f>M8+K8+J8+I8+H8+G8+F8+E8+D8+C8+B8+U8+L8</f>
        <v>50893.649999999994</v>
      </c>
    </row>
    <row r="9" spans="1:20" ht="12.75">
      <c r="A9" s="25" t="s">
        <v>22</v>
      </c>
      <c r="B9" s="13"/>
      <c r="C9" s="12"/>
      <c r="D9" s="14"/>
      <c r="E9" s="12"/>
      <c r="F9" s="12"/>
      <c r="G9" s="12"/>
      <c r="H9" s="12"/>
      <c r="I9" s="12"/>
      <c r="J9" s="12"/>
      <c r="K9" s="12"/>
      <c r="L9" s="12"/>
      <c r="M9" s="14"/>
      <c r="N9" s="11"/>
      <c r="O9" s="11"/>
      <c r="P9" s="11"/>
      <c r="Q9" s="11"/>
      <c r="R9" s="11"/>
      <c r="S9" s="11"/>
      <c r="T9" s="18">
        <f>B9+C9+E9+F9+G9+H9+I9+K9+M9+J9+D9</f>
        <v>0</v>
      </c>
    </row>
    <row r="10" spans="1:20" ht="12.75">
      <c r="A10" s="31" t="s">
        <v>36</v>
      </c>
      <c r="B10" s="13"/>
      <c r="C10" s="12"/>
      <c r="D10" s="14"/>
      <c r="E10" s="12"/>
      <c r="F10" s="12"/>
      <c r="G10" s="12"/>
      <c r="H10" s="12"/>
      <c r="I10" s="12"/>
      <c r="J10" s="12"/>
      <c r="K10" s="12"/>
      <c r="L10" s="12"/>
      <c r="M10" s="14"/>
      <c r="N10" s="11"/>
      <c r="O10" s="11"/>
      <c r="P10" s="11"/>
      <c r="Q10" s="11"/>
      <c r="R10" s="11"/>
      <c r="S10" s="11"/>
      <c r="T10" s="18">
        <f>B10+C10+E10+F10+G10+H10+I10+K10+M10+J10+D10</f>
        <v>0</v>
      </c>
    </row>
    <row r="11" spans="1:20" ht="12.75">
      <c r="A11" s="31" t="s">
        <v>37</v>
      </c>
      <c r="B11" s="13">
        <f>4254-47</f>
        <v>4207</v>
      </c>
      <c r="C11" s="12">
        <f>5104.32-211.32</f>
        <v>4893</v>
      </c>
      <c r="D11" s="14">
        <f>5104.32-272.32</f>
        <v>4832</v>
      </c>
      <c r="E11" s="12">
        <f>5104.48-1.48</f>
        <v>5103</v>
      </c>
      <c r="F11" s="12">
        <f>5104.48-29.48</f>
        <v>5075</v>
      </c>
      <c r="G11" s="12">
        <f>5104.48+215.52</f>
        <v>5320</v>
      </c>
      <c r="H11" s="12">
        <f>5104.48+76.52</f>
        <v>5181</v>
      </c>
      <c r="I11" s="12">
        <f>5104.48-58.68</f>
        <v>5045.799999999999</v>
      </c>
      <c r="J11" s="12">
        <f>5104.48+197.52</f>
        <v>5302</v>
      </c>
      <c r="K11" s="12">
        <f>5104.48-61.48</f>
        <v>5043</v>
      </c>
      <c r="L11" s="12"/>
      <c r="M11" s="14">
        <f>6806-266</f>
        <v>6540</v>
      </c>
      <c r="N11" s="11"/>
      <c r="O11" s="11"/>
      <c r="P11" s="11"/>
      <c r="Q11" s="11"/>
      <c r="R11" s="11"/>
      <c r="S11" s="11"/>
      <c r="T11" s="18">
        <f>B11+C11+E11+F11+G11+H11+I11+K11+M11+J11+D11</f>
        <v>56541.8</v>
      </c>
    </row>
    <row r="12" spans="1:20" ht="12.75">
      <c r="A12" s="25" t="s">
        <v>23</v>
      </c>
      <c r="B12" s="13">
        <f>4254+47-629</f>
        <v>3672</v>
      </c>
      <c r="C12" s="12">
        <f>5104.32+211.32-11.64</f>
        <v>5303.999999999999</v>
      </c>
      <c r="D12" s="14">
        <f>5104.32+272.32-54.64</f>
        <v>5321.999999999999</v>
      </c>
      <c r="E12" s="12">
        <f>5104.48+1.48-135.96</f>
        <v>4969.999999999999</v>
      </c>
      <c r="F12" s="12">
        <f>5104.48+29.48-30.96</f>
        <v>5102.999999999999</v>
      </c>
      <c r="G12" s="12">
        <f>5104.48-215.52+11.04</f>
        <v>4899.999999999999</v>
      </c>
      <c r="H12" s="12">
        <f>5104.48-76.52+18.04</f>
        <v>5045.999999999999</v>
      </c>
      <c r="I12" s="12">
        <f>5104.48+58.68-31.16</f>
        <v>5132</v>
      </c>
      <c r="J12" s="12">
        <f>5104.48-197.52+24.04</f>
        <v>4930.999999999999</v>
      </c>
      <c r="K12" s="12">
        <f>5104.48+61.48-5.96</f>
        <v>5159.999999999999</v>
      </c>
      <c r="L12" s="12"/>
      <c r="M12" s="14">
        <f>6806+266-528</f>
        <v>6544</v>
      </c>
      <c r="N12" s="11"/>
      <c r="O12" s="11"/>
      <c r="P12" s="11"/>
      <c r="Q12" s="11"/>
      <c r="R12" s="11"/>
      <c r="S12" s="11"/>
      <c r="T12" s="18">
        <f>B12+C12+E12+F12+G12+H12+I12+K12+M12+J12+D12</f>
        <v>56084</v>
      </c>
    </row>
    <row r="13" spans="1:20" ht="12.75">
      <c r="A13" s="25" t="s">
        <v>24</v>
      </c>
      <c r="B13" s="13">
        <f>4014.09+629-453.09</f>
        <v>4190</v>
      </c>
      <c r="C13" s="14">
        <f>4816.9+11.64-12.54</f>
        <v>4816</v>
      </c>
      <c r="D13" s="14">
        <f>4816.9+54.64-31.54</f>
        <v>4840</v>
      </c>
      <c r="E13" s="14">
        <f>4816.9+135.96-44.86</f>
        <v>4908</v>
      </c>
      <c r="F13" s="14">
        <f>4816.9+30.96-7.86</f>
        <v>4840</v>
      </c>
      <c r="G13" s="14">
        <f>4816.9-11.04-52.86</f>
        <v>4753</v>
      </c>
      <c r="H13" s="14">
        <f>4816.9-18.04-3.86</f>
        <v>4795</v>
      </c>
      <c r="I13" s="14">
        <f>4816.9+31.16-31.06</f>
        <v>4816.999999999999</v>
      </c>
      <c r="J13" s="14">
        <f>4816.9-24.04-146.86</f>
        <v>4646</v>
      </c>
      <c r="K13" s="14">
        <f>4816.9+5.96-141.86</f>
        <v>4681</v>
      </c>
      <c r="L13" s="6">
        <f>3211.27-2473.27</f>
        <v>738</v>
      </c>
      <c r="M13" s="11">
        <f>6422.54+528-261.54</f>
        <v>6689</v>
      </c>
      <c r="N13" s="6"/>
      <c r="O13" s="6"/>
      <c r="P13" s="6"/>
      <c r="Q13" s="6"/>
      <c r="R13" s="6"/>
      <c r="S13" s="6"/>
      <c r="T13" s="18">
        <f>B13+C13+E13+F13+G13+H13+I13+K13+M13+J13+D13+L13</f>
        <v>54713</v>
      </c>
    </row>
    <row r="14" spans="1:20" ht="12.75">
      <c r="A14" s="26" t="s">
        <v>30</v>
      </c>
      <c r="B14" s="22">
        <f aca="true" t="shared" si="0" ref="B14:M14">B11+B12+B13</f>
        <v>12069</v>
      </c>
      <c r="C14" s="22">
        <f t="shared" si="0"/>
        <v>15013</v>
      </c>
      <c r="D14" s="22">
        <f t="shared" si="0"/>
        <v>14994</v>
      </c>
      <c r="E14" s="22">
        <f t="shared" si="0"/>
        <v>14981</v>
      </c>
      <c r="F14" s="22">
        <f t="shared" si="0"/>
        <v>15018</v>
      </c>
      <c r="G14" s="22">
        <f t="shared" si="0"/>
        <v>14973</v>
      </c>
      <c r="H14" s="22">
        <f t="shared" si="0"/>
        <v>15022</v>
      </c>
      <c r="I14" s="22">
        <f t="shared" si="0"/>
        <v>14994.8</v>
      </c>
      <c r="J14" s="22">
        <f t="shared" si="0"/>
        <v>14879</v>
      </c>
      <c r="K14" s="22">
        <f t="shared" si="0"/>
        <v>14884</v>
      </c>
      <c r="L14" s="22">
        <f t="shared" si="0"/>
        <v>738</v>
      </c>
      <c r="M14" s="22">
        <f t="shared" si="0"/>
        <v>19773</v>
      </c>
      <c r="N14" s="22"/>
      <c r="O14" s="22"/>
      <c r="P14" s="22"/>
      <c r="Q14" s="22"/>
      <c r="R14" s="22"/>
      <c r="S14" s="22"/>
      <c r="T14" s="22">
        <f>T11+T12+T13</f>
        <v>167338.8</v>
      </c>
    </row>
    <row r="15" spans="1:20" ht="12.75">
      <c r="A15" s="25" t="s">
        <v>15</v>
      </c>
      <c r="B15" s="14">
        <f>4014.09-428.09</f>
        <v>3586</v>
      </c>
      <c r="C15" s="12">
        <f>4816.9+732.24-266.14</f>
        <v>5282.999999999999</v>
      </c>
      <c r="D15" s="12">
        <f>4816.9+732.24-750.14</f>
        <v>4798.999999999999</v>
      </c>
      <c r="E15" s="12">
        <f>4816.9-31.9</f>
        <v>4785</v>
      </c>
      <c r="F15" s="12">
        <f>4816.9+732.24-64.14</f>
        <v>5484.999999999999</v>
      </c>
      <c r="G15" s="12">
        <f>4816.9+13.1</f>
        <v>4830</v>
      </c>
      <c r="H15" s="12">
        <f>4816.9+732.24+71.86</f>
        <v>5620.999999999999</v>
      </c>
      <c r="I15" s="12">
        <f>4816.9+732.24-137.14</f>
        <v>5411.999999999999</v>
      </c>
      <c r="J15" s="12">
        <f>4816.9+15.1</f>
        <v>4832</v>
      </c>
      <c r="K15" s="12">
        <f>4816.9-484.9</f>
        <v>4332</v>
      </c>
      <c r="L15" s="14">
        <f>3211.27+16.73</f>
        <v>3228</v>
      </c>
      <c r="M15" s="11">
        <f>6422.54-283.54</f>
        <v>6139</v>
      </c>
      <c r="N15" s="14"/>
      <c r="O15" s="14"/>
      <c r="P15" s="14"/>
      <c r="Q15" s="14"/>
      <c r="R15" s="14"/>
      <c r="S15" s="14"/>
      <c r="T15" s="18">
        <f>B15+C15+D15+E15+F15+G15+H15+I15+K15+M15+J15+L15</f>
        <v>58332</v>
      </c>
    </row>
    <row r="16" spans="1:20" ht="12.75">
      <c r="A16" s="25" t="s">
        <v>16</v>
      </c>
      <c r="B16" s="14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1"/>
      <c r="N16" s="14"/>
      <c r="O16" s="14"/>
      <c r="P16" s="14"/>
      <c r="Q16" s="14"/>
      <c r="R16" s="14"/>
      <c r="S16" s="14"/>
      <c r="T16" s="18"/>
    </row>
    <row r="17" spans="1:20" ht="12.75">
      <c r="A17" s="25" t="s">
        <v>40</v>
      </c>
      <c r="B17" s="14"/>
      <c r="C17" s="12"/>
      <c r="D17" s="12"/>
      <c r="E17" s="12"/>
      <c r="F17" s="12"/>
      <c r="G17" s="12"/>
      <c r="H17" s="12"/>
      <c r="I17" s="12"/>
      <c r="J17" s="12"/>
      <c r="K17" s="12"/>
      <c r="L17" s="14"/>
      <c r="M17" s="11"/>
      <c r="N17" s="14"/>
      <c r="O17" s="14"/>
      <c r="P17" s="14"/>
      <c r="Q17" s="14"/>
      <c r="R17" s="14"/>
      <c r="S17" s="14"/>
      <c r="T17" s="18"/>
    </row>
    <row r="18" spans="1:20" ht="12.75">
      <c r="A18" s="25" t="s">
        <v>39</v>
      </c>
      <c r="B18" s="14">
        <f>4014.09+428.09-871.18</f>
        <v>3571.0000000000005</v>
      </c>
      <c r="C18" s="12">
        <f>4816.9+266.14-271.04</f>
        <v>4812</v>
      </c>
      <c r="D18" s="12">
        <f>4816.9+750.14-4.04</f>
        <v>5563</v>
      </c>
      <c r="E18" s="12">
        <f>4816.9+31.9-48.8</f>
        <v>4799.999999999999</v>
      </c>
      <c r="F18" s="12">
        <f>4816.9+64.14-14.04</f>
        <v>4867</v>
      </c>
      <c r="G18" s="12">
        <f>4816.9-13.1+26.2</f>
        <v>4829.999999999999</v>
      </c>
      <c r="H18" s="12">
        <f>4816.9-71.86+87.96</f>
        <v>4833</v>
      </c>
      <c r="I18" s="12">
        <f>4816.9+137.14-2.04</f>
        <v>4952</v>
      </c>
      <c r="J18" s="12">
        <f>4816.9-15.1+36.2</f>
        <v>4837.999999999999</v>
      </c>
      <c r="K18" s="12">
        <f>4816.9+484.9-283.8</f>
        <v>5017.999999999999</v>
      </c>
      <c r="L18" s="14">
        <f>3211.27-16.73+255.46</f>
        <v>3450</v>
      </c>
      <c r="M18" s="11">
        <f>6422.54+283.54-142.08</f>
        <v>6564</v>
      </c>
      <c r="N18" s="14"/>
      <c r="O18" s="14"/>
      <c r="P18" s="14"/>
      <c r="Q18" s="14"/>
      <c r="R18" s="14"/>
      <c r="S18" s="14"/>
      <c r="T18" s="18">
        <f>B18+C18+D18+E18+F18+G18+H18+I18+K18+M18+J18+L18</f>
        <v>58098</v>
      </c>
    </row>
    <row r="19" spans="1:20" ht="12.75">
      <c r="A19" s="25" t="s">
        <v>25</v>
      </c>
      <c r="B19" s="14">
        <f>4014.09+871.18-141.27</f>
        <v>4744</v>
      </c>
      <c r="C19" s="12">
        <f>4816.9+271.04-183.94</f>
        <v>4904</v>
      </c>
      <c r="D19" s="12">
        <f>4816.9+4.04-202.94</f>
        <v>4618</v>
      </c>
      <c r="E19" s="12">
        <f>4816.9+48.8-100.7</f>
        <v>4765</v>
      </c>
      <c r="F19" s="12">
        <f>4816.9+14.04-63.94</f>
        <v>4767</v>
      </c>
      <c r="G19" s="12">
        <f>4816.9-26.2-30.7</f>
        <v>4760</v>
      </c>
      <c r="H19" s="12">
        <f>4816.9-87.96-58.94</f>
        <v>4670</v>
      </c>
      <c r="I19" s="12">
        <f>4816.9+2.04-2.94</f>
        <v>4816</v>
      </c>
      <c r="J19" s="12">
        <f>4816.9-36.2-160.7</f>
        <v>4620</v>
      </c>
      <c r="K19" s="12">
        <f>4816.9+283.8-189.7</f>
        <v>4911</v>
      </c>
      <c r="L19" s="14">
        <f>3211.27-255.46-220.81</f>
        <v>2735</v>
      </c>
      <c r="M19" s="11">
        <f>6422.54+142.08-390.62</f>
        <v>6174</v>
      </c>
      <c r="N19" s="14"/>
      <c r="O19" s="14"/>
      <c r="P19" s="14"/>
      <c r="Q19" s="14"/>
      <c r="R19" s="14"/>
      <c r="S19" s="14"/>
      <c r="T19" s="18">
        <f>B19+C19+D19+E19+F19+G19+H19+I19+K19+M19+J19+L19</f>
        <v>56484</v>
      </c>
    </row>
    <row r="20" spans="1:20" ht="12.75">
      <c r="A20" s="26" t="s">
        <v>31</v>
      </c>
      <c r="B20" s="22">
        <f>SUM(B15:B19)</f>
        <v>11901</v>
      </c>
      <c r="C20" s="22">
        <f>SUM(C15:C19)</f>
        <v>14999</v>
      </c>
      <c r="D20" s="22">
        <f>SUM(D15:D19)</f>
        <v>14980</v>
      </c>
      <c r="E20" s="22">
        <f>SUM(E15:E19)</f>
        <v>14350</v>
      </c>
      <c r="F20" s="22">
        <f>SUM(F15:F19)</f>
        <v>15119</v>
      </c>
      <c r="G20" s="22">
        <f>SUM(G15:G19)</f>
        <v>14420</v>
      </c>
      <c r="H20" s="22">
        <f>SUM(H15:H19)</f>
        <v>15124</v>
      </c>
      <c r="I20" s="22">
        <f>SUM(I15:I19)</f>
        <v>15180</v>
      </c>
      <c r="J20" s="22">
        <f>SUM(J15:J19)</f>
        <v>14290</v>
      </c>
      <c r="K20" s="22">
        <f>SUM(K15:K19)</f>
        <v>14261</v>
      </c>
      <c r="L20" s="22">
        <f>SUM(L15:L19)</f>
        <v>9413</v>
      </c>
      <c r="M20" s="22">
        <f>SUM(M15:M19)</f>
        <v>18877</v>
      </c>
      <c r="N20" s="22">
        <f>SUM(N15:N19)</f>
        <v>0</v>
      </c>
      <c r="O20" s="22">
        <f>SUM(O15:O19)</f>
        <v>0</v>
      </c>
      <c r="P20" s="22">
        <f>SUM(P15:P19)</f>
        <v>0</v>
      </c>
      <c r="Q20" s="22">
        <f>SUM(Q15:Q19)</f>
        <v>0</v>
      </c>
      <c r="R20" s="22">
        <f>SUM(R15:R19)</f>
        <v>0</v>
      </c>
      <c r="S20" s="22"/>
      <c r="T20" s="22">
        <f>SUM(T15:T19)</f>
        <v>172914</v>
      </c>
    </row>
    <row r="21" spans="1:20" ht="12.75">
      <c r="A21" s="25" t="s">
        <v>26</v>
      </c>
      <c r="B21" s="14">
        <f>6060.59+152.21</f>
        <v>6212.8</v>
      </c>
      <c r="C21" s="12">
        <f>7272.73-252.73</f>
        <v>7020</v>
      </c>
      <c r="D21" s="12">
        <f>7272.73-72.33</f>
        <v>7200.4</v>
      </c>
      <c r="E21" s="12">
        <f>7272.73-1886.73</f>
        <v>5386</v>
      </c>
      <c r="F21" s="12">
        <f>7272.73-24.73</f>
        <v>7248</v>
      </c>
      <c r="G21" s="12">
        <f>7272.73+873.6+57.67</f>
        <v>8204</v>
      </c>
      <c r="H21" s="12">
        <f>7272.73-22.73</f>
        <v>7250</v>
      </c>
      <c r="I21" s="12">
        <f>7272.73+873.6-69.13</f>
        <v>8077.2</v>
      </c>
      <c r="J21" s="12">
        <f>7272.73+36.27</f>
        <v>7309</v>
      </c>
      <c r="K21" s="12">
        <f>7272.73-38.73</f>
        <v>7234</v>
      </c>
      <c r="L21" s="12">
        <f>4848.48+231.52</f>
        <v>5080</v>
      </c>
      <c r="M21" s="11">
        <f>9696.96-29.96</f>
        <v>9667</v>
      </c>
      <c r="N21" s="12">
        <f>7272.73-402.73</f>
        <v>6870</v>
      </c>
      <c r="O21" s="12">
        <f>7272.73-137.73</f>
        <v>7135</v>
      </c>
      <c r="P21" s="12">
        <f>7272.73-1483.73</f>
        <v>5789</v>
      </c>
      <c r="Q21" s="12">
        <f>7272.73+9.27</f>
        <v>7282</v>
      </c>
      <c r="R21" s="12">
        <f>4848.48+55.52</f>
        <v>4904</v>
      </c>
      <c r="S21" s="43"/>
      <c r="T21" s="18">
        <f>B21+C21+D21+E21+F21+G21+H21+I21+K21+M21+J21+L21+N21+O21+P21+Q21+R21</f>
        <v>117868.4</v>
      </c>
    </row>
    <row r="22" spans="1:20" ht="12.75">
      <c r="A22" s="25" t="s">
        <v>18</v>
      </c>
      <c r="B22" s="14">
        <f>6060.59-152.21+93.22</f>
        <v>6001.6</v>
      </c>
      <c r="C22" s="12">
        <f>7272.73+252.73-371.46</f>
        <v>7153.999999999999</v>
      </c>
      <c r="D22" s="12">
        <f>7272.73+72.33-1.86</f>
        <v>7343.2</v>
      </c>
      <c r="E22" s="12">
        <f>7272.73+1886.73-3624.46</f>
        <v>5534.999999999999</v>
      </c>
      <c r="F22" s="12">
        <f>7272.73+24.73-37.46</f>
        <v>7259.999999999999</v>
      </c>
      <c r="G22" s="12">
        <f>7272.73-57.67+19.94</f>
        <v>7234.999999999999</v>
      </c>
      <c r="H22" s="12">
        <f>7272.73+22.73-79.46</f>
        <v>7215.999999999999</v>
      </c>
      <c r="I22" s="12">
        <f>7272.73+69.13-73.46</f>
        <v>7268.4</v>
      </c>
      <c r="J22" s="12">
        <f>7272.73-36.27-11.46</f>
        <v>7224.999999999999</v>
      </c>
      <c r="K22" s="12">
        <f>7272.73+38.73-1312.86</f>
        <v>5998.599999999999</v>
      </c>
      <c r="L22" s="12">
        <f>4848.48-231.52-7.96</f>
        <v>4608.999999999999</v>
      </c>
      <c r="M22" s="11">
        <f>9696.96+29.96-219.92</f>
        <v>9506.999999999998</v>
      </c>
      <c r="N22" s="12">
        <f>7272.73+402.73-1290.46</f>
        <v>6384.999999999999</v>
      </c>
      <c r="O22" s="12">
        <f>7272.73+137.73-254.46</f>
        <v>7155.999999999999</v>
      </c>
      <c r="P22" s="12">
        <f>7272.73+1483.73-787.46</f>
        <v>7968.999999999999</v>
      </c>
      <c r="Q22" s="12">
        <f>7272.73-9.27+40.54</f>
        <v>7303.999999999999</v>
      </c>
      <c r="R22" s="12">
        <f>4848.48-55.52+127.04</f>
        <v>4919.999999999999</v>
      </c>
      <c r="S22" s="43"/>
      <c r="T22" s="18">
        <f>B22+C22+D22+E22+F22+G22+H22+I22+K22+M22+J22+L22+N22+O22+P22+Q22+R22</f>
        <v>116086.79999999999</v>
      </c>
    </row>
    <row r="23" spans="1:20" ht="12.75">
      <c r="A23" s="25" t="s">
        <v>27</v>
      </c>
      <c r="B23" s="14">
        <f>6060.59-93.22-226.37</f>
        <v>5741</v>
      </c>
      <c r="C23" s="12">
        <f>7272.73+371.46-32.19</f>
        <v>7612</v>
      </c>
      <c r="D23" s="12">
        <f>7272.73+1.86-58.19</f>
        <v>7216.4</v>
      </c>
      <c r="E23" s="12">
        <f>7272.73+3624.46-4780.79</f>
        <v>6116.399999999999</v>
      </c>
      <c r="F23" s="12">
        <f>7272.73+37.46-65.19</f>
        <v>7245</v>
      </c>
      <c r="G23" s="12">
        <f>7272.73-19.94-137.79</f>
        <v>7115</v>
      </c>
      <c r="H23" s="12">
        <f>7272.73+79.46-189.19</f>
        <v>7163</v>
      </c>
      <c r="I23" s="12">
        <f>7272.73+73.46-36.19</f>
        <v>7310</v>
      </c>
      <c r="J23" s="12">
        <f>7272.73+11.46-67.19</f>
        <v>7217</v>
      </c>
      <c r="K23" s="12">
        <f>7272.73+1312.86-67.79</f>
        <v>8517.8</v>
      </c>
      <c r="L23" s="12">
        <f>4848.48+7.96-44.44</f>
        <v>4812</v>
      </c>
      <c r="M23" s="11">
        <f>9696.96+219.92-83.88</f>
        <v>9833</v>
      </c>
      <c r="N23" s="12">
        <f>7272.73+1290.46-32.99</f>
        <v>8530.199999999999</v>
      </c>
      <c r="O23" s="12">
        <f>7272.73+254.46-214.19</f>
        <v>7313</v>
      </c>
      <c r="P23" s="12">
        <f>7272.73+787.46-7.19</f>
        <v>8053</v>
      </c>
      <c r="Q23" s="12">
        <f>7272.73-40.54-33.19</f>
        <v>7199</v>
      </c>
      <c r="R23" s="12">
        <f>4848.48-127.04-295.44</f>
        <v>4426</v>
      </c>
      <c r="S23" s="11"/>
      <c r="T23" s="18">
        <f>B23+C23+D23+E23+F23+G23+H23+I23+K23+M23+J23+L23+N23+O23+P23+Q23+R23</f>
        <v>121419.8</v>
      </c>
    </row>
    <row r="24" spans="1:20" ht="12.75">
      <c r="A24" s="26" t="s">
        <v>32</v>
      </c>
      <c r="B24" s="22">
        <f aca="true" t="shared" si="1" ref="B24:Q24">B21+B22+B23</f>
        <v>17955.4</v>
      </c>
      <c r="C24" s="22">
        <f t="shared" si="1"/>
        <v>21786</v>
      </c>
      <c r="D24" s="22">
        <f t="shared" si="1"/>
        <v>21760</v>
      </c>
      <c r="E24" s="22">
        <f t="shared" si="1"/>
        <v>17037.399999999998</v>
      </c>
      <c r="F24" s="22">
        <f t="shared" si="1"/>
        <v>21753</v>
      </c>
      <c r="G24" s="22">
        <f t="shared" si="1"/>
        <v>22554</v>
      </c>
      <c r="H24" s="22">
        <f t="shared" si="1"/>
        <v>21629</v>
      </c>
      <c r="I24" s="22">
        <f t="shared" si="1"/>
        <v>22655.6</v>
      </c>
      <c r="J24" s="22">
        <f t="shared" si="1"/>
        <v>21751</v>
      </c>
      <c r="K24" s="22">
        <f t="shared" si="1"/>
        <v>21750.399999999998</v>
      </c>
      <c r="L24" s="22">
        <f t="shared" si="1"/>
        <v>14501</v>
      </c>
      <c r="M24" s="22">
        <f t="shared" si="1"/>
        <v>29007</v>
      </c>
      <c r="N24" s="22">
        <f t="shared" si="1"/>
        <v>21785.199999999997</v>
      </c>
      <c r="O24" s="22">
        <f t="shared" si="1"/>
        <v>21604</v>
      </c>
      <c r="P24" s="22">
        <f t="shared" si="1"/>
        <v>21811</v>
      </c>
      <c r="Q24" s="22">
        <f t="shared" si="1"/>
        <v>21785</v>
      </c>
      <c r="R24" s="22">
        <f>R21+R22+R23</f>
        <v>14250</v>
      </c>
      <c r="S24" s="22"/>
      <c r="T24" s="22">
        <f>T21+T22+T23</f>
        <v>355375</v>
      </c>
    </row>
    <row r="25" spans="1:20" ht="12.75">
      <c r="A25" s="25" t="s">
        <v>28</v>
      </c>
      <c r="B25" s="14">
        <f>5050.6+226.37+257.11-168.68</f>
        <v>5365.4</v>
      </c>
      <c r="C25" s="29">
        <f>6060.6+32.19+308.44-131.23</f>
        <v>6270</v>
      </c>
      <c r="D25" s="29">
        <f>6060.6+58.19+308.44-30.03</f>
        <v>6397.2</v>
      </c>
      <c r="E25" s="29">
        <f>6060.6-37.6</f>
        <v>6023</v>
      </c>
      <c r="F25" s="29">
        <f>6060.6+65.19+308.44-15.23</f>
        <v>6419</v>
      </c>
      <c r="G25" s="29">
        <f>6060.6+137.79+308.44+10.17</f>
        <v>6517</v>
      </c>
      <c r="H25" s="29">
        <f>6060.6+189.19+308.44-63.23</f>
        <v>6495</v>
      </c>
      <c r="I25" s="29">
        <f>6060.6+36.19+308.44-199.83</f>
        <v>6205.4</v>
      </c>
      <c r="J25" s="29">
        <f>6060.6+67.19+308.44+23.77</f>
        <v>6460</v>
      </c>
      <c r="K25" s="29">
        <f>6060.6+67.79+308.44-1162.83</f>
        <v>5274</v>
      </c>
      <c r="L25" s="29">
        <f>4040.4+44.44+205.6+133.56</f>
        <v>4424.000000000001</v>
      </c>
      <c r="M25" s="11">
        <f>8080.8+83.88+411.2-31.88</f>
        <v>8544.000000000002</v>
      </c>
      <c r="N25" s="29">
        <f>6060.6+32.99+308.44-2176.03</f>
        <v>4226</v>
      </c>
      <c r="O25" s="29">
        <f>6060.6+214.19+308.44-125.23</f>
        <v>6458</v>
      </c>
      <c r="P25" s="29">
        <f>6060.6+7.19+308.44-1120.23</f>
        <v>5256</v>
      </c>
      <c r="Q25" s="29">
        <f>6060.6+33.19+308.44-439.23</f>
        <v>5963</v>
      </c>
      <c r="R25" s="29">
        <f>4040.4+295.44+205.6-332.44</f>
        <v>4209.000000000001</v>
      </c>
      <c r="S25" s="29">
        <v>0</v>
      </c>
      <c r="T25" s="18">
        <f>B25+C25+D25+E25+F25+G25+H25+I25+K25+M25+J25+N25+O25+P25+Q25+R25+L25+S25</f>
        <v>100506</v>
      </c>
    </row>
    <row r="26" spans="1:20" ht="12.75">
      <c r="A26" s="25" t="s">
        <v>20</v>
      </c>
      <c r="B26" s="14">
        <f>1515+2223+168.68+370.76</f>
        <v>4277.44</v>
      </c>
      <c r="C26" s="29">
        <f>1818.51+2666+131.23+442</f>
        <v>5057.74</v>
      </c>
      <c r="D26" s="29">
        <f>1818.51+2666+30.03+442</f>
        <v>4956.54</v>
      </c>
      <c r="E26" s="29">
        <f>1818.18+2667+37.6+442</f>
        <v>4964.780000000001</v>
      </c>
      <c r="F26" s="29">
        <f>1818.18+2667+15.23+442</f>
        <v>4942.41</v>
      </c>
      <c r="G26" s="29">
        <f>1818.18+2667-10.17+442</f>
        <v>4917.01</v>
      </c>
      <c r="H26" s="29">
        <f>1818.18+2667+63.23+442</f>
        <v>4990.41</v>
      </c>
      <c r="I26" s="29">
        <f>1818.18+2667+199.83+442</f>
        <v>5127.01</v>
      </c>
      <c r="J26" s="29">
        <f>1818.18+2667-23.77+442</f>
        <v>4903.41</v>
      </c>
      <c r="K26" s="29">
        <f>1818.18+2667</f>
        <v>4485.18</v>
      </c>
      <c r="L26" s="29">
        <f>1212+1777-133.56+294</f>
        <v>3149.44</v>
      </c>
      <c r="M26" s="11">
        <f>2424+3554+31.88+588</f>
        <v>6597.88</v>
      </c>
      <c r="N26" s="29">
        <f>1818.18+2667</f>
        <v>4485.18</v>
      </c>
      <c r="O26" s="29">
        <f>1818.18+2667+125.23+442</f>
        <v>5052.41</v>
      </c>
      <c r="P26" s="29">
        <f>1818.18+2667</f>
        <v>4485.18</v>
      </c>
      <c r="Q26" s="29">
        <f>1818.18+2667</f>
        <v>4485.18</v>
      </c>
      <c r="R26" s="29">
        <f>1212+1777</f>
        <v>2989</v>
      </c>
      <c r="S26" s="29">
        <v>6000</v>
      </c>
      <c r="T26" s="18">
        <f>B26+C26+D26+E26+F26+G26+H26+I26+K26+M26+J26+N26+O26+P26+Q26+R26+L26+S26</f>
        <v>85866.19999999998</v>
      </c>
    </row>
    <row r="27" spans="1:20" ht="12.75">
      <c r="A27" s="25" t="s">
        <v>29</v>
      </c>
      <c r="B27" s="11">
        <f>1161+1336+2089</f>
        <v>4586</v>
      </c>
      <c r="C27" s="29">
        <f>1393+1600+2507</f>
        <v>5500</v>
      </c>
      <c r="D27" s="29">
        <f>1393+1600+2507</f>
        <v>5500</v>
      </c>
      <c r="E27" s="29">
        <f>1394.2+1600+2507</f>
        <v>5501.2</v>
      </c>
      <c r="F27" s="29">
        <f>1394.2+1600+2507</f>
        <v>5501.2</v>
      </c>
      <c r="G27" s="29">
        <f>1394.2+1600+2507</f>
        <v>5501.2</v>
      </c>
      <c r="H27" s="29">
        <f>1394.2+1600+2507</f>
        <v>5501.2</v>
      </c>
      <c r="I27" s="29">
        <f>1394.2+1600+2507</f>
        <v>5501.2</v>
      </c>
      <c r="J27" s="29">
        <f>1394.2+1600+2507</f>
        <v>5501.2</v>
      </c>
      <c r="K27" s="29">
        <f>1394.2+1600+2507</f>
        <v>5501.2</v>
      </c>
      <c r="L27" s="29">
        <f>929.2+1066+1670</f>
        <v>3665.2</v>
      </c>
      <c r="M27" s="11">
        <f>1858.4+2132+3340</f>
        <v>7330.4</v>
      </c>
      <c r="N27" s="29">
        <f>1394.2+1600+2507</f>
        <v>5501.2</v>
      </c>
      <c r="O27" s="29">
        <f>1394.2+1600+2507</f>
        <v>5501.2</v>
      </c>
      <c r="P27" s="29">
        <f>1394.2+1600+2507</f>
        <v>5501.2</v>
      </c>
      <c r="Q27" s="29">
        <f>1394.2+1600+2507</f>
        <v>5501.2</v>
      </c>
      <c r="R27" s="29">
        <f>929.2+1066+1670</f>
        <v>3665.2</v>
      </c>
      <c r="S27" s="29">
        <f>3600+5640</f>
        <v>9240</v>
      </c>
      <c r="T27" s="18">
        <f>B27+C27+D27+E27+F27+G27+H27+I27+K27+M27+J27+N27+O27+P27+Q27+R27+L27+S27</f>
        <v>99999.99999999999</v>
      </c>
    </row>
    <row r="28" spans="1:20" ht="38.25">
      <c r="A28" s="27" t="s">
        <v>33</v>
      </c>
      <c r="B28" s="22">
        <f aca="true" t="shared" si="2" ref="B28:R28">B25+B26+B27</f>
        <v>14228.84</v>
      </c>
      <c r="C28" s="22">
        <f t="shared" si="2"/>
        <v>16827.739999999998</v>
      </c>
      <c r="D28" s="22">
        <f t="shared" si="2"/>
        <v>16853.739999999998</v>
      </c>
      <c r="E28" s="22">
        <f t="shared" si="2"/>
        <v>16488.98</v>
      </c>
      <c r="F28" s="22">
        <f t="shared" si="2"/>
        <v>16862.61</v>
      </c>
      <c r="G28" s="22">
        <f t="shared" si="2"/>
        <v>16935.21</v>
      </c>
      <c r="H28" s="22">
        <f t="shared" si="2"/>
        <v>16986.61</v>
      </c>
      <c r="I28" s="22">
        <f t="shared" si="2"/>
        <v>16833.61</v>
      </c>
      <c r="J28" s="22">
        <f t="shared" si="2"/>
        <v>16864.61</v>
      </c>
      <c r="K28" s="22">
        <f t="shared" si="2"/>
        <v>15260.380000000001</v>
      </c>
      <c r="L28" s="22">
        <f t="shared" si="2"/>
        <v>11238.64</v>
      </c>
      <c r="M28" s="22">
        <f t="shared" si="2"/>
        <v>22472.28</v>
      </c>
      <c r="N28" s="22">
        <f t="shared" si="2"/>
        <v>14212.380000000001</v>
      </c>
      <c r="O28" s="22">
        <f t="shared" si="2"/>
        <v>17011.61</v>
      </c>
      <c r="P28" s="22">
        <f t="shared" si="2"/>
        <v>15242.380000000001</v>
      </c>
      <c r="Q28" s="22">
        <f t="shared" si="2"/>
        <v>15949.380000000001</v>
      </c>
      <c r="R28" s="22">
        <f t="shared" si="2"/>
        <v>10863.2</v>
      </c>
      <c r="S28" s="22">
        <f>S25+S26+S27</f>
        <v>15240</v>
      </c>
      <c r="T28" s="22">
        <f>T25+T26+T27</f>
        <v>286372.19999999995</v>
      </c>
    </row>
    <row r="29" spans="1:20" ht="25.5">
      <c r="A29" s="23" t="s">
        <v>34</v>
      </c>
      <c r="B29" s="22">
        <f aca="true" t="shared" si="3" ref="B29:Q29">B14+B20+B24+B28</f>
        <v>56154.240000000005</v>
      </c>
      <c r="C29" s="22">
        <f t="shared" si="3"/>
        <v>68625.73999999999</v>
      </c>
      <c r="D29" s="22">
        <f t="shared" si="3"/>
        <v>68587.73999999999</v>
      </c>
      <c r="E29" s="22">
        <f t="shared" si="3"/>
        <v>62857.37999999999</v>
      </c>
      <c r="F29" s="22">
        <f t="shared" si="3"/>
        <v>68752.61</v>
      </c>
      <c r="G29" s="22">
        <f t="shared" si="3"/>
        <v>68882.20999999999</v>
      </c>
      <c r="H29" s="22">
        <f t="shared" si="3"/>
        <v>68761.61</v>
      </c>
      <c r="I29" s="22">
        <f t="shared" si="3"/>
        <v>69664.01</v>
      </c>
      <c r="J29" s="22">
        <f t="shared" si="3"/>
        <v>67784.61</v>
      </c>
      <c r="K29" s="22">
        <f t="shared" si="3"/>
        <v>66155.78</v>
      </c>
      <c r="L29" s="22">
        <f t="shared" si="3"/>
        <v>35890.64</v>
      </c>
      <c r="M29" s="22">
        <f t="shared" si="3"/>
        <v>90129.28</v>
      </c>
      <c r="N29" s="22">
        <f t="shared" si="3"/>
        <v>35997.58</v>
      </c>
      <c r="O29" s="22">
        <f t="shared" si="3"/>
        <v>38615.61</v>
      </c>
      <c r="P29" s="22">
        <f t="shared" si="3"/>
        <v>37053.380000000005</v>
      </c>
      <c r="Q29" s="22">
        <f t="shared" si="3"/>
        <v>37734.380000000005</v>
      </c>
      <c r="R29" s="22">
        <f>R14+R20+R24+R28</f>
        <v>25113.2</v>
      </c>
      <c r="S29" s="22">
        <f>S28+S24+S20+S14</f>
        <v>15240</v>
      </c>
      <c r="T29" s="24">
        <f>B29+C29+D29+E29+F29+G29+H29+I29+K29+M29+J29+L29+N29+O29+P29+Q29+R29+S29</f>
        <v>981999.9999999999</v>
      </c>
    </row>
    <row r="30" spans="1:20" ht="12.75">
      <c r="A30" s="21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2.75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2.75">
      <c r="A32" s="21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20"/>
      <c r="T32" s="20"/>
    </row>
    <row r="33" spans="1:2" ht="12.75">
      <c r="A33" s="5" t="s">
        <v>2</v>
      </c>
      <c r="B33" s="4"/>
    </row>
    <row r="34" spans="1:3" ht="12.75">
      <c r="A34" s="8" t="s">
        <v>3</v>
      </c>
      <c r="B34" s="4">
        <f>B36-T29</f>
        <v>0</v>
      </c>
      <c r="C34" s="30"/>
    </row>
    <row r="35" spans="2:20" ht="12.75">
      <c r="B35" s="10"/>
      <c r="T35" s="1"/>
    </row>
    <row r="36" spans="1:19" ht="25.5">
      <c r="A36" s="9" t="s">
        <v>35</v>
      </c>
      <c r="B36" s="16">
        <f>B37+B38+B39+B40+B41+B42+B43+B44+B45+B47+B48+B46</f>
        <v>982000</v>
      </c>
      <c r="D36" s="7"/>
      <c r="S36" s="1"/>
    </row>
    <row r="37" spans="1:4" ht="12.75">
      <c r="A37" s="17">
        <v>44927</v>
      </c>
      <c r="B37" s="16">
        <v>57000</v>
      </c>
      <c r="D37" s="7"/>
    </row>
    <row r="38" spans="1:4" ht="12.75">
      <c r="A38" s="17">
        <v>44958</v>
      </c>
      <c r="B38" s="16">
        <v>57000</v>
      </c>
      <c r="D38" s="7"/>
    </row>
    <row r="39" spans="1:2" ht="12.75">
      <c r="A39" s="32">
        <v>44986</v>
      </c>
      <c r="B39" s="33">
        <v>57000</v>
      </c>
    </row>
    <row r="40" spans="1:2" ht="12.75">
      <c r="A40" s="34">
        <v>45017</v>
      </c>
      <c r="B40" s="33">
        <v>57000</v>
      </c>
    </row>
    <row r="41" spans="1:2" ht="12.75">
      <c r="A41" s="34">
        <v>45047</v>
      </c>
      <c r="B41" s="33">
        <v>57000</v>
      </c>
    </row>
    <row r="42" spans="1:2" ht="12.75">
      <c r="A42" s="34">
        <v>45078</v>
      </c>
      <c r="B42" s="33">
        <v>57000</v>
      </c>
    </row>
    <row r="43" spans="1:2" ht="12.75">
      <c r="A43" s="41" t="s">
        <v>46</v>
      </c>
      <c r="B43" s="42">
        <v>120000</v>
      </c>
    </row>
    <row r="44" spans="1:2" ht="12.75">
      <c r="A44" s="5" t="s">
        <v>47</v>
      </c>
      <c r="B44" s="42">
        <v>120000</v>
      </c>
    </row>
    <row r="45" spans="1:2" ht="12.75">
      <c r="A45" s="5" t="s">
        <v>48</v>
      </c>
      <c r="B45" s="42">
        <v>120000</v>
      </c>
    </row>
    <row r="46" spans="1:2" ht="12.75">
      <c r="A46" s="5" t="s">
        <v>49</v>
      </c>
      <c r="B46" s="42">
        <v>100000</v>
      </c>
    </row>
    <row r="47" spans="1:2" ht="12.75">
      <c r="A47" s="5" t="s">
        <v>50</v>
      </c>
      <c r="B47" s="42">
        <v>80000</v>
      </c>
    </row>
    <row r="48" spans="1:2" ht="12.75">
      <c r="A48" s="5" t="s">
        <v>51</v>
      </c>
      <c r="B48" s="42">
        <v>100000</v>
      </c>
    </row>
  </sheetData>
  <sheetProtection/>
  <mergeCells count="2">
    <mergeCell ref="A5:A6"/>
    <mergeCell ref="B5:M5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26"/>
  <sheetViews>
    <sheetView zoomScalePageLayoutView="0" workbookViewId="0" topLeftCell="A5">
      <selection activeCell="E5" sqref="E5"/>
    </sheetView>
  </sheetViews>
  <sheetFormatPr defaultColWidth="9.140625" defaultRowHeight="12.75"/>
  <cols>
    <col min="3" max="3" width="14.57421875" style="0" customWidth="1"/>
    <col min="4" max="4" width="13.140625" style="0" customWidth="1"/>
    <col min="5" max="5" width="21.57421875" style="0" customWidth="1"/>
    <col min="6" max="6" width="18.00390625" style="0" customWidth="1"/>
    <col min="7" max="7" width="9.140625" style="0" customWidth="1"/>
    <col min="8" max="8" width="20.421875" style="0" customWidth="1"/>
    <col min="9" max="9" width="13.57421875" style="0" customWidth="1"/>
  </cols>
  <sheetData>
    <row r="3" spans="2:14" ht="12.7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2.7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18.75">
      <c r="B5" s="35"/>
      <c r="C5" s="36"/>
      <c r="D5" s="37"/>
      <c r="E5" s="36"/>
      <c r="F5" s="35"/>
      <c r="G5" s="35"/>
      <c r="H5" s="36"/>
      <c r="I5" s="37"/>
      <c r="J5" s="35"/>
      <c r="K5" s="35"/>
      <c r="L5" s="35"/>
      <c r="M5" s="35"/>
      <c r="N5" s="35"/>
    </row>
    <row r="6" spans="2:14" ht="18.75">
      <c r="B6" s="35"/>
      <c r="C6" s="36"/>
      <c r="D6" s="37"/>
      <c r="E6" s="36"/>
      <c r="F6" s="35"/>
      <c r="G6" s="35"/>
      <c r="H6" s="38"/>
      <c r="I6" s="37"/>
      <c r="J6" s="35"/>
      <c r="K6" s="35"/>
      <c r="L6" s="35"/>
      <c r="M6" s="35"/>
      <c r="N6" s="35"/>
    </row>
    <row r="7" spans="2:14" ht="18.75">
      <c r="B7" s="35"/>
      <c r="C7" s="36"/>
      <c r="D7" s="37"/>
      <c r="E7" s="36"/>
      <c r="F7" s="36"/>
      <c r="G7" s="35"/>
      <c r="H7" s="38"/>
      <c r="I7" s="37"/>
      <c r="J7" s="35"/>
      <c r="K7" s="35"/>
      <c r="L7" s="35"/>
      <c r="M7" s="35"/>
      <c r="N7" s="35"/>
    </row>
    <row r="8" spans="2:14" ht="18.75">
      <c r="B8" s="35"/>
      <c r="C8" s="38"/>
      <c r="D8" s="37"/>
      <c r="E8" s="36"/>
      <c r="F8" s="36"/>
      <c r="G8" s="35"/>
      <c r="H8" s="38"/>
      <c r="I8" s="37"/>
      <c r="J8" s="35"/>
      <c r="K8" s="35"/>
      <c r="L8" s="35"/>
      <c r="M8" s="35"/>
      <c r="N8" s="35"/>
    </row>
    <row r="9" spans="2:14" ht="18.75">
      <c r="B9" s="35"/>
      <c r="C9" s="38"/>
      <c r="D9" s="37"/>
      <c r="E9" s="36"/>
      <c r="F9" s="36"/>
      <c r="G9" s="35"/>
      <c r="H9" s="38"/>
      <c r="I9" s="37"/>
      <c r="J9" s="35"/>
      <c r="K9" s="35"/>
      <c r="L9" s="35"/>
      <c r="M9" s="35"/>
      <c r="N9" s="35"/>
    </row>
    <row r="10" spans="2:14" ht="18.75">
      <c r="B10" s="35"/>
      <c r="C10" s="38"/>
      <c r="D10" s="37"/>
      <c r="E10" s="36"/>
      <c r="F10" s="36"/>
      <c r="G10" s="35"/>
      <c r="H10" s="38"/>
      <c r="I10" s="37"/>
      <c r="J10" s="35"/>
      <c r="K10" s="35"/>
      <c r="L10" s="35"/>
      <c r="M10" s="35"/>
      <c r="N10" s="35"/>
    </row>
    <row r="11" spans="2:14" ht="18.75">
      <c r="B11" s="35"/>
      <c r="C11" s="38"/>
      <c r="D11" s="37"/>
      <c r="E11" s="36"/>
      <c r="F11" s="39"/>
      <c r="G11" s="35"/>
      <c r="H11" s="38"/>
      <c r="I11" s="37"/>
      <c r="J11" s="35"/>
      <c r="K11" s="35"/>
      <c r="L11" s="35"/>
      <c r="M11" s="35"/>
      <c r="N11" s="35"/>
    </row>
    <row r="12" spans="2:14" ht="18.75">
      <c r="B12" s="35"/>
      <c r="C12" s="38"/>
      <c r="D12" s="37"/>
      <c r="E12" s="36"/>
      <c r="F12" s="35"/>
      <c r="G12" s="35"/>
      <c r="H12" s="36"/>
      <c r="I12" s="37"/>
      <c r="J12" s="35"/>
      <c r="K12" s="35"/>
      <c r="L12" s="35"/>
      <c r="M12" s="35"/>
      <c r="N12" s="35"/>
    </row>
    <row r="13" spans="2:14" ht="18.75">
      <c r="B13" s="35"/>
      <c r="C13" s="38"/>
      <c r="D13" s="37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2:14" ht="18.75">
      <c r="B14" s="35"/>
      <c r="C14" s="36"/>
      <c r="D14" s="37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2:14" ht="18.75">
      <c r="B15" s="35"/>
      <c r="C15" s="39"/>
      <c r="D15" s="39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2:14" ht="12.7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2:14" ht="18.75">
      <c r="B17" s="35"/>
      <c r="C17" s="35"/>
      <c r="D17" s="36"/>
      <c r="E17" s="37"/>
      <c r="F17" s="36"/>
      <c r="G17" s="35"/>
      <c r="H17" s="35"/>
      <c r="I17" s="35"/>
      <c r="J17" s="35"/>
      <c r="K17" s="35"/>
      <c r="L17" s="35"/>
      <c r="M17" s="35"/>
      <c r="N17" s="35"/>
    </row>
    <row r="18" spans="2:14" ht="18.75">
      <c r="B18" s="35"/>
      <c r="C18" s="35"/>
      <c r="D18" s="38"/>
      <c r="E18" s="37"/>
      <c r="F18" s="36"/>
      <c r="G18" s="35"/>
      <c r="H18" s="35"/>
      <c r="I18" s="35"/>
      <c r="J18" s="35"/>
      <c r="K18" s="35"/>
      <c r="L18" s="35"/>
      <c r="M18" s="35"/>
      <c r="N18" s="35"/>
    </row>
    <row r="19" spans="2:14" ht="18.75">
      <c r="B19" s="35"/>
      <c r="C19" s="35"/>
      <c r="D19" s="38"/>
      <c r="E19" s="37"/>
      <c r="F19" s="36"/>
      <c r="G19" s="35"/>
      <c r="H19" s="35"/>
      <c r="I19" s="35"/>
      <c r="J19" s="35"/>
      <c r="K19" s="35"/>
      <c r="L19" s="35"/>
      <c r="M19" s="35"/>
      <c r="N19" s="35"/>
    </row>
    <row r="20" spans="2:14" ht="18.75">
      <c r="B20" s="35"/>
      <c r="C20" s="35"/>
      <c r="D20" s="38"/>
      <c r="E20" s="37"/>
      <c r="F20" s="36"/>
      <c r="G20" s="35"/>
      <c r="H20" s="35"/>
      <c r="I20" s="35"/>
      <c r="J20" s="35"/>
      <c r="K20" s="35"/>
      <c r="L20" s="35"/>
      <c r="M20" s="35"/>
      <c r="N20" s="35"/>
    </row>
    <row r="21" spans="2:7" ht="18.75">
      <c r="B21" s="35"/>
      <c r="C21" s="35"/>
      <c r="D21" s="38"/>
      <c r="E21" s="37"/>
      <c r="F21" s="36"/>
      <c r="G21" s="35"/>
    </row>
    <row r="22" spans="2:7" ht="18.75">
      <c r="B22" s="35"/>
      <c r="C22" s="35"/>
      <c r="D22" s="38"/>
      <c r="E22" s="37"/>
      <c r="F22" s="36"/>
      <c r="G22" s="35"/>
    </row>
    <row r="23" spans="2:7" ht="18.75">
      <c r="B23" s="35"/>
      <c r="C23" s="35"/>
      <c r="D23" s="38"/>
      <c r="E23" s="37"/>
      <c r="F23" s="36"/>
      <c r="G23" s="35"/>
    </row>
    <row r="24" spans="2:7" ht="18.75">
      <c r="B24" s="35"/>
      <c r="C24" s="35"/>
      <c r="D24" s="36"/>
      <c r="E24" s="37"/>
      <c r="F24" s="36"/>
      <c r="G24" s="35"/>
    </row>
    <row r="25" spans="2:7" ht="12.75">
      <c r="B25" s="35"/>
      <c r="C25" s="35"/>
      <c r="D25" s="35"/>
      <c r="E25" s="35"/>
      <c r="F25" s="35"/>
      <c r="G25" s="35"/>
    </row>
    <row r="26" spans="2:7" ht="12.75">
      <c r="B26" s="35"/>
      <c r="C26" s="35"/>
      <c r="D26" s="35"/>
      <c r="E26" s="35"/>
      <c r="F26" s="35"/>
      <c r="G26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ci@casacl.ro</cp:lastModifiedBy>
  <cp:lastPrinted>2023-12-13T08:14:17Z</cp:lastPrinted>
  <dcterms:created xsi:type="dcterms:W3CDTF">2007-02-14T09:57:22Z</dcterms:created>
  <dcterms:modified xsi:type="dcterms:W3CDTF">2023-12-13T14:28:57Z</dcterms:modified>
  <cp:category/>
  <cp:version/>
  <cp:contentType/>
  <cp:contentStatus/>
</cp:coreProperties>
</file>